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oyr\Documents\DataAnnotation\"/>
    </mc:Choice>
  </mc:AlternateContent>
  <xr:revisionPtr revIDLastSave="0" documentId="13_ncr:1_{17BD684E-7B88-442B-B49D-738BAF025080}" xr6:coauthVersionLast="47" xr6:coauthVersionMax="47" xr10:uidLastSave="{00000000-0000-0000-0000-000000000000}"/>
  <bookViews>
    <workbookView xWindow="-120" yWindow="-120" windowWidth="29040" windowHeight="15720" xr2:uid="{D7896716-3EF5-4359-8654-B4B477ACC3E3}"/>
  </bookViews>
  <sheets>
    <sheet name="Pepsi-DC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1" i="1" l="1"/>
  <c r="W5" i="1"/>
  <c r="V5" i="1"/>
  <c r="T5" i="1"/>
  <c r="S5" i="1"/>
  <c r="P12" i="1"/>
  <c r="P11" i="1"/>
  <c r="F37" i="1"/>
  <c r="E37" i="1"/>
  <c r="D37" i="1"/>
  <c r="F19" i="1"/>
  <c r="H26" i="1"/>
  <c r="I26" i="1" s="1"/>
  <c r="J26" i="1" s="1"/>
  <c r="K26" i="1" s="1"/>
  <c r="P10" i="1"/>
  <c r="G23" i="1"/>
  <c r="H23" i="1" s="1"/>
  <c r="I23" i="1" s="1"/>
  <c r="J23" i="1" s="1"/>
  <c r="K23" i="1" s="1"/>
  <c r="G6" i="1"/>
  <c r="G16" i="1" s="1"/>
  <c r="F35" i="1"/>
  <c r="G35" i="1" s="1"/>
  <c r="E35" i="1"/>
  <c r="E31" i="1"/>
  <c r="F31" i="1"/>
  <c r="E32" i="1"/>
  <c r="F32" i="1"/>
  <c r="E33" i="1"/>
  <c r="F33" i="1"/>
  <c r="E34" i="1"/>
  <c r="F34" i="1"/>
  <c r="E36" i="1"/>
  <c r="F36" i="1"/>
  <c r="G36" i="1" s="1"/>
  <c r="D36" i="1"/>
  <c r="D34" i="1"/>
  <c r="D33" i="1"/>
  <c r="D32" i="1"/>
  <c r="D31" i="1"/>
  <c r="F30" i="1"/>
  <c r="E30" i="1"/>
  <c r="E8" i="1"/>
  <c r="F8" i="1"/>
  <c r="D8" i="1"/>
  <c r="P26" i="1" l="1"/>
  <c r="I31" i="1"/>
  <c r="F10" i="1"/>
  <c r="E10" i="1"/>
  <c r="D10" i="1"/>
  <c r="G37" i="1"/>
  <c r="H37" i="1" s="1"/>
  <c r="I37" i="1" s="1"/>
  <c r="J37" i="1" s="1"/>
  <c r="K37" i="1" s="1"/>
  <c r="P13" i="1"/>
  <c r="H6" i="1"/>
  <c r="H35" i="1"/>
  <c r="I35" i="1" s="1"/>
  <c r="J35" i="1" s="1"/>
  <c r="K35" i="1" s="1"/>
  <c r="G18" i="1"/>
  <c r="G19" i="1" s="1"/>
  <c r="H36" i="1"/>
  <c r="I36" i="1" s="1"/>
  <c r="J36" i="1" s="1"/>
  <c r="K36" i="1" s="1"/>
  <c r="G20" i="1"/>
  <c r="J33" i="1"/>
  <c r="H33" i="1"/>
  <c r="I33" i="1"/>
  <c r="K33" i="1"/>
  <c r="G33" i="1"/>
  <c r="H32" i="1"/>
  <c r="I32" i="1"/>
  <c r="J32" i="1"/>
  <c r="K32" i="1"/>
  <c r="G32" i="1"/>
  <c r="G9" i="1" s="1"/>
  <c r="H31" i="1"/>
  <c r="J31" i="1"/>
  <c r="K31" i="1"/>
  <c r="G31" i="1"/>
  <c r="G7" i="1" s="1"/>
  <c r="G8" i="1" s="1"/>
  <c r="F11" i="1" l="1"/>
  <c r="F13" i="1" s="1"/>
  <c r="D13" i="1"/>
  <c r="E11" i="1"/>
  <c r="E13" i="1" s="1"/>
  <c r="P15" i="1"/>
  <c r="H15" i="1"/>
  <c r="G15" i="1"/>
  <c r="G10" i="1" s="1"/>
  <c r="G11" i="1" s="1"/>
  <c r="I6" i="1"/>
  <c r="I15" i="1" s="1"/>
  <c r="H9" i="1"/>
  <c r="H16" i="1"/>
  <c r="H18" i="1"/>
  <c r="H19" i="1" s="1"/>
  <c r="H20" i="1"/>
  <c r="H7" i="1"/>
  <c r="H8" i="1" s="1"/>
  <c r="H10" i="1" l="1"/>
  <c r="H11" i="1" s="1"/>
  <c r="I18" i="1"/>
  <c r="I19" i="1" s="1"/>
  <c r="I16" i="1"/>
  <c r="I7" i="1"/>
  <c r="I8" i="1" s="1"/>
  <c r="I20" i="1"/>
  <c r="I9" i="1"/>
  <c r="J6" i="1"/>
  <c r="J15" i="1" s="1"/>
  <c r="G12" i="1"/>
  <c r="G13" i="1" s="1"/>
  <c r="G22" i="1" s="1"/>
  <c r="H12" i="1" l="1"/>
  <c r="H13" i="1" s="1"/>
  <c r="H22" i="1" s="1"/>
  <c r="I10" i="1"/>
  <c r="I11" i="1" s="1"/>
  <c r="G24" i="1"/>
  <c r="G25" i="1"/>
  <c r="J7" i="1"/>
  <c r="J8" i="1" s="1"/>
  <c r="J20" i="1"/>
  <c r="J18" i="1"/>
  <c r="J19" i="1" s="1"/>
  <c r="J16" i="1"/>
  <c r="J9" i="1"/>
  <c r="K6" i="1"/>
  <c r="K15" i="1" s="1"/>
  <c r="H25" i="1" l="1"/>
  <c r="I12" i="1"/>
  <c r="I13" i="1" s="1"/>
  <c r="I22" i="1" s="1"/>
  <c r="J10" i="1"/>
  <c r="J11" i="1" s="1"/>
  <c r="H24" i="1"/>
  <c r="K7" i="1"/>
  <c r="K8" i="1" s="1"/>
  <c r="K18" i="1"/>
  <c r="K19" i="1" s="1"/>
  <c r="K16" i="1"/>
  <c r="K20" i="1"/>
  <c r="K9" i="1"/>
  <c r="J12" i="1" l="1"/>
  <c r="J13" i="1" s="1"/>
  <c r="J22" i="1" s="1"/>
  <c r="I24" i="1"/>
  <c r="I25" i="1"/>
  <c r="K10" i="1"/>
  <c r="K11" i="1" s="1"/>
  <c r="J24" i="1" l="1"/>
  <c r="J25" i="1"/>
  <c r="K12" i="1"/>
  <c r="K13" i="1" s="1"/>
  <c r="K22" i="1" s="1"/>
  <c r="P18" i="1"/>
  <c r="P20" i="1" s="1"/>
  <c r="K25" i="1" l="1"/>
  <c r="P21" i="1" s="1"/>
  <c r="P22" i="1" s="1"/>
  <c r="P27" i="1" s="1"/>
  <c r="K24" i="1"/>
  <c r="P30" i="1" l="1"/>
  <c r="R6" i="1" s="1"/>
  <c r="P24" i="1"/>
  <c r="P33" i="1" l="1"/>
</calcChain>
</file>

<file path=xl/sharedStrings.xml><?xml version="1.0" encoding="utf-8"?>
<sst xmlns="http://schemas.openxmlformats.org/spreadsheetml/2006/main" count="73" uniqueCount="70">
  <si>
    <t>Pepsi</t>
  </si>
  <si>
    <t>Nasdaq: PEP</t>
  </si>
  <si>
    <t>Revenue</t>
  </si>
  <si>
    <t>COGS</t>
  </si>
  <si>
    <t>Gross Profit</t>
  </si>
  <si>
    <t>SG&amp;A</t>
  </si>
  <si>
    <t>EBITDA</t>
  </si>
  <si>
    <t>EBIT</t>
  </si>
  <si>
    <t>Taxes</t>
  </si>
  <si>
    <t>Impairment</t>
  </si>
  <si>
    <t>NOPAT</t>
  </si>
  <si>
    <t>ΔNet Working Capital</t>
  </si>
  <si>
    <t>CapEx</t>
  </si>
  <si>
    <t>Levered Free Cash Flow</t>
  </si>
  <si>
    <t>Debt</t>
  </si>
  <si>
    <t>Unlevered Free Cash Flow</t>
  </si>
  <si>
    <t>Historical</t>
  </si>
  <si>
    <t>Projected</t>
  </si>
  <si>
    <t>Tax Rate</t>
  </si>
  <si>
    <t>CapEx (% Sales)</t>
  </si>
  <si>
    <t>COGS (% Sales)</t>
  </si>
  <si>
    <t>SG&amp;A (% Sales)</t>
  </si>
  <si>
    <t>Risk-Free Rate</t>
  </si>
  <si>
    <t>Equity Risk Premium</t>
  </si>
  <si>
    <t>Cost of Debt</t>
  </si>
  <si>
    <t>WACC</t>
  </si>
  <si>
    <t>Equity</t>
  </si>
  <si>
    <t>Beta</t>
  </si>
  <si>
    <t>DCF Assumptions &amp; Output</t>
  </si>
  <si>
    <t>Terminal EBITDA Multiple</t>
  </si>
  <si>
    <t>Terminal Value</t>
  </si>
  <si>
    <t>PV of Terminal Value</t>
  </si>
  <si>
    <t>Sum of PV of Cash Flows</t>
  </si>
  <si>
    <t>Enterprise Value</t>
  </si>
  <si>
    <t>Terminal Value % EV</t>
  </si>
  <si>
    <t>Implied Equity Value</t>
  </si>
  <si>
    <t>Implied Price Per Share</t>
  </si>
  <si>
    <t>Sales (% Growth)</t>
  </si>
  <si>
    <t>D&amp;A</t>
  </si>
  <si>
    <t>Net Working Capital</t>
  </si>
  <si>
    <t>Impairment (% Sales)</t>
  </si>
  <si>
    <t>Net Working Capital (% Sales)</t>
  </si>
  <si>
    <t>Net Interest Expense</t>
  </si>
  <si>
    <t>Mid-Year Discount</t>
  </si>
  <si>
    <t>Cost of Equity</t>
  </si>
  <si>
    <t>Current Market Price</t>
  </si>
  <si>
    <t>Upside/Downside</t>
  </si>
  <si>
    <t>($ in Millions, Except Per Share Amounts in Dollars)</t>
  </si>
  <si>
    <t>PV of Unlevered FCF</t>
  </si>
  <si>
    <t>FCF Assumptions</t>
  </si>
  <si>
    <t>Net Debt</t>
  </si>
  <si>
    <t>D&amp;A (% Sales)</t>
  </si>
  <si>
    <t>FCF Calculations</t>
  </si>
  <si>
    <t>Diluted Shares (Millions)</t>
  </si>
  <si>
    <t>Sensitivity Table for Implied Price Per Share</t>
  </si>
  <si>
    <t>Multiple</t>
  </si>
  <si>
    <t>Notes</t>
  </si>
  <si>
    <t>historical numbers, tax rate from pepsi 02/26 10-K</t>
  </si>
  <si>
    <t>beta, terminal ebitda multiple, market cap from yahoo finance</t>
  </si>
  <si>
    <t>net working capital from diff between current assets &amp; current liabilities</t>
  </si>
  <si>
    <t>most projection assumptions come from an average</t>
  </si>
  <si>
    <t>2026, 2027 rev growth assumptions from yahoo finance</t>
  </si>
  <si>
    <t xml:space="preserve">2028+ rev growth assumptions from snack </t>
  </si>
  <si>
    <t>nwc &amp; capex projection using 2025 since 2024 was mid-acqusition and 2023 was pre-acqusition</t>
  </si>
  <si>
    <t>impairment 0 since non-recurring</t>
  </si>
  <si>
    <t>equity risk premium of s&amp;p500 around 5%</t>
  </si>
  <si>
    <t>cost of debt was from gross interest expense / total debt</t>
  </si>
  <si>
    <t>used exit multiple method to calculate terminal value, wacc for discount rate</t>
  </si>
  <si>
    <t>balance sheet adjustment included cash and non-controlling interests</t>
  </si>
  <si>
    <t>r&amp;d, d&amp;a included in sg&amp;a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</si>
</sst>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&quot;$&quot;* #,##0_);_(&quot;$&quot;* \(#,##0\);_(&quot;$&quot;* &quot;-&quot;??_);_(@_)"/>
    <numFmt numFmtId="166" formatCode="_(* #,##0.000_);_(* \(#,##0.000\);_(* &quot;-&quot;??_);_(@_)"/>
    <numFmt numFmtId="167" formatCode="_(* #,##0_);_(* \(#,##0\);_(* &quot;-&quot;??_);_(@_)"/>
  </numFmts>
  <fonts count="7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theme="0"/>
      <name val="Times New Roman"/>
      <family val="2"/>
    </font>
    <font>
      <sz val="11"/>
      <color theme="2"/>
      <name val="Times New Roman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66">
    <xf numFmtId="0" fontId="0" fillId="0" borderId="0" xfId="0"/>
    <xf numFmtId="164" fontId="0" fillId="0" borderId="0" xfId="3" applyNumberFormat="1" applyFont="1"/>
    <xf numFmtId="0" fontId="0" fillId="0" borderId="4" xfId="0" applyBorder="1"/>
    <xf numFmtId="10" fontId="0" fillId="0" borderId="5" xfId="3" applyNumberFormat="1" applyFont="1" applyBorder="1"/>
    <xf numFmtId="0" fontId="0" fillId="0" borderId="5" xfId="0" applyBorder="1"/>
    <xf numFmtId="10" fontId="0" fillId="0" borderId="5" xfId="0" applyNumberFormat="1" applyBorder="1"/>
    <xf numFmtId="165" fontId="0" fillId="0" borderId="5" xfId="2" applyNumberFormat="1" applyFont="1" applyBorder="1"/>
    <xf numFmtId="0" fontId="0" fillId="0" borderId="5" xfId="0" applyBorder="1" applyAlignment="1">
      <alignment horizontal="right"/>
    </xf>
    <xf numFmtId="165" fontId="0" fillId="0" borderId="5" xfId="0" applyNumberFormat="1" applyBorder="1"/>
    <xf numFmtId="167" fontId="0" fillId="0" borderId="5" xfId="1" applyNumberFormat="1" applyFont="1" applyBorder="1"/>
    <xf numFmtId="44" fontId="0" fillId="0" borderId="5" xfId="2" applyFont="1" applyBorder="1"/>
    <xf numFmtId="0" fontId="0" fillId="0" borderId="9" xfId="0" applyBorder="1"/>
    <xf numFmtId="0" fontId="0" fillId="0" borderId="10" xfId="0" applyBorder="1"/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10" fontId="0" fillId="0" borderId="8" xfId="3" applyNumberFormat="1" applyFont="1" applyBorder="1"/>
    <xf numFmtId="0" fontId="3" fillId="2" borderId="1" xfId="0" applyFont="1" applyFill="1" applyBorder="1"/>
    <xf numFmtId="165" fontId="0" fillId="0" borderId="0" xfId="2" applyNumberFormat="1" applyFont="1" applyBorder="1"/>
    <xf numFmtId="166" fontId="0" fillId="0" borderId="0" xfId="1" applyNumberFormat="1" applyFont="1" applyBorder="1"/>
    <xf numFmtId="166" fontId="0" fillId="0" borderId="5" xfId="1" applyNumberFormat="1" applyFont="1" applyBorder="1"/>
    <xf numFmtId="10" fontId="0" fillId="0" borderId="0" xfId="3" applyNumberFormat="1" applyFont="1" applyBorder="1"/>
    <xf numFmtId="10" fontId="0" fillId="0" borderId="7" xfId="3" applyNumberFormat="1" applyFont="1" applyBorder="1"/>
    <xf numFmtId="165" fontId="0" fillId="0" borderId="1" xfId="2" applyNumberFormat="1" applyFont="1" applyBorder="1"/>
    <xf numFmtId="165" fontId="0" fillId="0" borderId="2" xfId="2" applyNumberFormat="1" applyFont="1" applyBorder="1"/>
    <xf numFmtId="165" fontId="0" fillId="0" borderId="3" xfId="2" applyNumberFormat="1" applyFont="1" applyBorder="1"/>
    <xf numFmtId="165" fontId="0" fillId="0" borderId="4" xfId="2" applyNumberFormat="1" applyFont="1" applyBorder="1"/>
    <xf numFmtId="10" fontId="0" fillId="0" borderId="4" xfId="3" applyNumberFormat="1" applyFont="1" applyBorder="1"/>
    <xf numFmtId="10" fontId="0" fillId="0" borderId="6" xfId="3" applyNumberFormat="1" applyFont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5" xfId="0" applyFont="1" applyFill="1" applyBorder="1"/>
    <xf numFmtId="0" fontId="4" fillId="0" borderId="0" xfId="0" applyFont="1"/>
    <xf numFmtId="14" fontId="4" fillId="0" borderId="0" xfId="0" applyNumberFormat="1" applyFont="1"/>
    <xf numFmtId="0" fontId="4" fillId="3" borderId="4" xfId="0" applyFont="1" applyFill="1" applyBorder="1"/>
    <xf numFmtId="0" fontId="0" fillId="3" borderId="0" xfId="0" applyFill="1"/>
    <xf numFmtId="0" fontId="0" fillId="3" borderId="5" xfId="0" applyFill="1" applyBorder="1"/>
    <xf numFmtId="0" fontId="0" fillId="3" borderId="4" xfId="0" applyFill="1" applyBorder="1"/>
    <xf numFmtId="165" fontId="0" fillId="3" borderId="0" xfId="2" applyNumberFormat="1" applyFont="1" applyFill="1" applyBorder="1"/>
    <xf numFmtId="165" fontId="0" fillId="3" borderId="5" xfId="2" applyNumberFormat="1" applyFont="1" applyFill="1" applyBorder="1"/>
    <xf numFmtId="165" fontId="4" fillId="3" borderId="0" xfId="2" applyNumberFormat="1" applyFont="1" applyFill="1" applyBorder="1"/>
    <xf numFmtId="165" fontId="4" fillId="3" borderId="5" xfId="2" applyNumberFormat="1" applyFont="1" applyFill="1" applyBorder="1"/>
    <xf numFmtId="165" fontId="0" fillId="3" borderId="4" xfId="2" applyNumberFormat="1" applyFont="1" applyFill="1" applyBorder="1"/>
    <xf numFmtId="165" fontId="4" fillId="3" borderId="5" xfId="0" applyNumberFormat="1" applyFont="1" applyFill="1" applyBorder="1"/>
    <xf numFmtId="44" fontId="4" fillId="3" borderId="5" xfId="2" applyFont="1" applyFill="1" applyBorder="1"/>
    <xf numFmtId="0" fontId="4" fillId="4" borderId="9" xfId="0" applyFont="1" applyFill="1" applyBorder="1"/>
    <xf numFmtId="0" fontId="4" fillId="4" borderId="10" xfId="0" applyFont="1" applyFill="1" applyBorder="1"/>
    <xf numFmtId="0" fontId="4" fillId="4" borderId="11" xfId="0" applyFont="1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0" xfId="0" applyFill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165" fontId="0" fillId="0" borderId="0" xfId="2" applyNumberFormat="1" applyFont="1"/>
    <xf numFmtId="165" fontId="0" fillId="0" borderId="0" xfId="2" applyNumberFormat="1" applyFont="1" applyBorder="1" applyAlignment="1">
      <alignment horizontal="left"/>
    </xf>
    <xf numFmtId="0" fontId="5" fillId="2" borderId="10" xfId="0" applyFont="1" applyFill="1" applyBorder="1"/>
    <xf numFmtId="0" fontId="5" fillId="2" borderId="11" xfId="0" applyFont="1" applyFill="1" applyBorder="1"/>
    <xf numFmtId="44" fontId="0" fillId="0" borderId="7" xfId="2" applyFont="1" applyBorder="1"/>
    <xf numFmtId="44" fontId="0" fillId="0" borderId="8" xfId="2" applyFont="1" applyBorder="1"/>
    <xf numFmtId="2" fontId="0" fillId="0" borderId="0" xfId="0" applyNumberFormat="1"/>
    <xf numFmtId="0" fontId="0" fillId="4" borderId="13" xfId="0" applyFill="1" applyBorder="1"/>
    <xf numFmtId="44" fontId="6" fillId="4" borderId="12" xfId="0" applyNumberFormat="1" applyFont="1" applyFill="1" applyBorder="1"/>
  </cellXfs>
  <cellStyles count="5">
    <cellStyle name="Comma" xfId="1" builtinId="3"/>
    <cellStyle name="Currency" xfId="2" builtinId="4"/>
    <cellStyle name="Normal" xfId="0" builtinId="0"/>
    <cellStyle name="Normal 2" xfId="4" xr:uid="{0621DBCE-183C-4244-AE6A-0875A88CE222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87D20-1617-4307-AAEB-B62A51D47203}">
  <dimension ref="A1:W38"/>
  <sheetViews>
    <sheetView tabSelected="1" workbookViewId="0">
      <selection activeCell="R31" sqref="R31"/>
    </sheetView>
  </sheetViews>
  <sheetFormatPr defaultRowHeight="15" x14ac:dyDescent="0.25"/>
  <cols>
    <col min="1" max="1" width="9.140625" customWidth="1"/>
    <col min="4" max="6" width="11.7109375" bestFit="1" customWidth="1"/>
    <col min="7" max="7" width="11.42578125" bestFit="1" customWidth="1"/>
    <col min="8" max="11" width="12.42578125" bestFit="1" customWidth="1"/>
    <col min="16" max="16" width="12.42578125" bestFit="1" customWidth="1"/>
  </cols>
  <sheetData>
    <row r="1" spans="1:23" x14ac:dyDescent="0.25">
      <c r="A1" s="32" t="s">
        <v>0</v>
      </c>
      <c r="B1" s="32" t="s">
        <v>1</v>
      </c>
      <c r="D1" s="33">
        <v>46152</v>
      </c>
    </row>
    <row r="2" spans="1:23" x14ac:dyDescent="0.25">
      <c r="A2" t="s">
        <v>47</v>
      </c>
    </row>
    <row r="4" spans="1:23" x14ac:dyDescent="0.25">
      <c r="A4" s="13" t="s">
        <v>52</v>
      </c>
      <c r="B4" s="14"/>
      <c r="C4" s="15"/>
      <c r="D4" s="17" t="s">
        <v>16</v>
      </c>
      <c r="E4" s="29"/>
      <c r="F4" s="30"/>
      <c r="G4" s="29" t="s">
        <v>17</v>
      </c>
      <c r="H4" s="29"/>
      <c r="I4" s="29"/>
      <c r="J4" s="29"/>
      <c r="K4" s="30"/>
      <c r="M4" s="13" t="s">
        <v>28</v>
      </c>
      <c r="N4" s="14"/>
      <c r="O4" s="14"/>
      <c r="P4" s="15"/>
      <c r="R4" s="17" t="s">
        <v>54</v>
      </c>
      <c r="S4" s="59"/>
      <c r="T4" s="59"/>
      <c r="U4" s="59"/>
      <c r="V4" s="59"/>
      <c r="W4" s="60"/>
    </row>
    <row r="5" spans="1:23" x14ac:dyDescent="0.25">
      <c r="D5" s="45">
        <v>2023</v>
      </c>
      <c r="E5" s="46">
        <v>2024</v>
      </c>
      <c r="F5" s="47">
        <v>2025</v>
      </c>
      <c r="G5" s="46">
        <v>2026</v>
      </c>
      <c r="H5" s="46">
        <v>2027</v>
      </c>
      <c r="I5" s="46">
        <v>2028</v>
      </c>
      <c r="J5" s="46">
        <v>2029</v>
      </c>
      <c r="K5" s="47">
        <v>2030</v>
      </c>
      <c r="M5" s="48" t="s">
        <v>22</v>
      </c>
      <c r="N5" s="49"/>
      <c r="O5" s="50"/>
      <c r="P5" s="3">
        <v>4.3900000000000002E-2</v>
      </c>
      <c r="R5" s="64" t="s">
        <v>55</v>
      </c>
      <c r="S5" s="55">
        <f>U5-2</f>
        <v>13.66</v>
      </c>
      <c r="T5" s="55">
        <f>U5-1</f>
        <v>14.66</v>
      </c>
      <c r="U5" s="55">
        <v>15.66</v>
      </c>
      <c r="V5" s="55">
        <f>U5+1</f>
        <v>16.66</v>
      </c>
      <c r="W5" s="56">
        <f>U5+2</f>
        <v>17.66</v>
      </c>
    </row>
    <row r="6" spans="1:23" x14ac:dyDescent="0.25">
      <c r="A6" s="48" t="s">
        <v>2</v>
      </c>
      <c r="B6" s="49"/>
      <c r="C6" s="50"/>
      <c r="D6" s="23">
        <v>91471</v>
      </c>
      <c r="E6" s="24">
        <v>91854</v>
      </c>
      <c r="F6" s="25">
        <v>93925</v>
      </c>
      <c r="G6" s="24">
        <f>F6*(1+G30)</f>
        <v>98320.69</v>
      </c>
      <c r="H6" s="24">
        <f>G6*(1+H30)</f>
        <v>101319.471045</v>
      </c>
      <c r="I6" s="24">
        <f>H6*(1+I30)</f>
        <v>104359.05517635</v>
      </c>
      <c r="J6" s="24">
        <f>I6*(1+J30)</f>
        <v>106968.03155575873</v>
      </c>
      <c r="K6" s="25">
        <f>J6*(1+K30)</f>
        <v>109642.23234465269</v>
      </c>
      <c r="M6" s="51" t="s">
        <v>27</v>
      </c>
      <c r="N6" s="52"/>
      <c r="O6" s="53"/>
      <c r="P6" s="4">
        <v>0.39</v>
      </c>
      <c r="R6" s="65">
        <f>P30</f>
        <v>172.3633254235861</v>
      </c>
      <c r="S6" s="61">
        <f t="dataTable" ref="S6:W6" dt2D="0" dtr="1" r1="P17"/>
        <v>151.07280348003255</v>
      </c>
      <c r="T6" s="61">
        <v>161.71806445180931</v>
      </c>
      <c r="U6" s="61">
        <v>172.3633254235861</v>
      </c>
      <c r="V6" s="61">
        <v>183.00858639536281</v>
      </c>
      <c r="W6" s="62">
        <v>193.6538473671396</v>
      </c>
    </row>
    <row r="7" spans="1:23" x14ac:dyDescent="0.25">
      <c r="A7" s="51" t="s">
        <v>3</v>
      </c>
      <c r="B7" s="52"/>
      <c r="C7" s="53"/>
      <c r="D7" s="26">
        <v>41881</v>
      </c>
      <c r="E7" s="18">
        <v>41744</v>
      </c>
      <c r="F7" s="6">
        <v>43066</v>
      </c>
      <c r="G7" s="18">
        <f>G$6*G31</f>
        <v>44927.182859932218</v>
      </c>
      <c r="H7" s="18">
        <f>H$6*H31</f>
        <v>46297.461937160151</v>
      </c>
      <c r="I7" s="18">
        <f>I$6*I31</f>
        <v>47686.385795274953</v>
      </c>
      <c r="J7" s="18">
        <f>J$6*J31</f>
        <v>48878.54544015682</v>
      </c>
      <c r="K7" s="6">
        <f>K$6*K31</f>
        <v>50100.509076160735</v>
      </c>
      <c r="M7" s="51" t="s">
        <v>23</v>
      </c>
      <c r="N7" s="52"/>
      <c r="O7" s="53"/>
      <c r="P7" s="3">
        <v>0.05</v>
      </c>
      <c r="S7" s="63"/>
      <c r="T7" s="63"/>
      <c r="U7" s="63"/>
      <c r="V7" s="63"/>
      <c r="W7" s="63"/>
    </row>
    <row r="8" spans="1:23" x14ac:dyDescent="0.25">
      <c r="A8" s="51" t="s">
        <v>4</v>
      </c>
      <c r="B8" s="52"/>
      <c r="C8" s="53"/>
      <c r="D8" s="26">
        <f>D6-D7</f>
        <v>49590</v>
      </c>
      <c r="E8" s="18">
        <f t="shared" ref="E8:F8" si="0">E6-E7</f>
        <v>50110</v>
      </c>
      <c r="F8" s="6">
        <f t="shared" si="0"/>
        <v>50859</v>
      </c>
      <c r="G8" s="18">
        <f>G6-G7</f>
        <v>53393.507140067784</v>
      </c>
      <c r="H8" s="18">
        <f t="shared" ref="H8:K8" si="1">H6-H7</f>
        <v>55022.009107839847</v>
      </c>
      <c r="I8" s="18">
        <f t="shared" si="1"/>
        <v>56672.669381075044</v>
      </c>
      <c r="J8" s="18">
        <f t="shared" si="1"/>
        <v>58089.486115601911</v>
      </c>
      <c r="K8" s="6">
        <f t="shared" si="1"/>
        <v>59541.723268491951</v>
      </c>
      <c r="M8" s="51"/>
      <c r="N8" s="52"/>
      <c r="O8" s="53"/>
      <c r="P8" s="4"/>
      <c r="R8" t="s">
        <v>56</v>
      </c>
      <c r="T8" s="63"/>
      <c r="U8" s="63"/>
      <c r="V8" s="63"/>
      <c r="W8" s="63"/>
    </row>
    <row r="9" spans="1:23" x14ac:dyDescent="0.25">
      <c r="A9" s="51" t="s">
        <v>5</v>
      </c>
      <c r="B9" s="52"/>
      <c r="C9" s="53"/>
      <c r="D9" s="26">
        <v>36677</v>
      </c>
      <c r="E9" s="18">
        <v>37190</v>
      </c>
      <c r="F9" s="6">
        <v>37368</v>
      </c>
      <c r="G9" s="18">
        <f>G$6*G32</f>
        <v>39449.525760290751</v>
      </c>
      <c r="H9" s="18">
        <f>H$6*H32</f>
        <v>40652.736295979616</v>
      </c>
      <c r="I9" s="18">
        <f>I$6*I32</f>
        <v>41872.318384859005</v>
      </c>
      <c r="J9" s="18">
        <f>J$6*J32</f>
        <v>42919.126344480479</v>
      </c>
      <c r="K9" s="6">
        <f>K$6*K32</f>
        <v>43992.10450309248</v>
      </c>
      <c r="M9" s="51" t="s">
        <v>24</v>
      </c>
      <c r="N9" s="52"/>
      <c r="O9" s="53"/>
      <c r="P9" s="3">
        <v>3.9399999999999998E-2</v>
      </c>
      <c r="R9" t="s">
        <v>57</v>
      </c>
      <c r="T9" s="63"/>
      <c r="U9" s="63"/>
      <c r="V9" s="63"/>
      <c r="W9" s="63"/>
    </row>
    <row r="10" spans="1:23" x14ac:dyDescent="0.25">
      <c r="A10" s="51" t="s">
        <v>6</v>
      </c>
      <c r="B10" s="52"/>
      <c r="C10" s="52"/>
      <c r="D10" s="26">
        <f>D8-D9+D15</f>
        <v>15861</v>
      </c>
      <c r="E10" s="18">
        <f t="shared" ref="E10:F10" si="2">E8-E9+E15</f>
        <v>16080</v>
      </c>
      <c r="F10" s="6">
        <f t="shared" si="2"/>
        <v>16942</v>
      </c>
      <c r="G10" s="18">
        <f>G8-G9+G15</f>
        <v>17331.892659825498</v>
      </c>
      <c r="H10" s="18">
        <f t="shared" ref="H10:K10" si="3">H8-H9+H15</f>
        <v>17860.515385950177</v>
      </c>
      <c r="I10" s="18">
        <f t="shared" si="3"/>
        <v>18396.330847528683</v>
      </c>
      <c r="J10" s="18">
        <f t="shared" si="3"/>
        <v>18856.239118716891</v>
      </c>
      <c r="K10" s="6">
        <f t="shared" si="3"/>
        <v>19327.645096684817</v>
      </c>
      <c r="M10" s="51" t="s">
        <v>44</v>
      </c>
      <c r="N10" s="52"/>
      <c r="O10" s="53"/>
      <c r="P10" s="5">
        <f>P5+P6*P7</f>
        <v>6.3400000000000012E-2</v>
      </c>
      <c r="R10" t="s">
        <v>58</v>
      </c>
      <c r="T10" s="63"/>
      <c r="U10" s="63"/>
      <c r="V10" s="63"/>
      <c r="W10" s="63"/>
    </row>
    <row r="11" spans="1:23" x14ac:dyDescent="0.25">
      <c r="A11" s="51" t="s">
        <v>7</v>
      </c>
      <c r="B11" s="52"/>
      <c r="C11" s="53"/>
      <c r="D11" s="26">
        <f>D10-D15-D16</f>
        <v>11986</v>
      </c>
      <c r="E11" s="18">
        <f t="shared" ref="E11:F11" si="4">E10-E15-E16</f>
        <v>12887</v>
      </c>
      <c r="F11" s="6">
        <f t="shared" si="4"/>
        <v>11498</v>
      </c>
      <c r="G11" s="18">
        <f>G10-G16-G15</f>
        <v>13943.981379777031</v>
      </c>
      <c r="H11" s="18">
        <f t="shared" ref="H11:K11" si="5">H10-H16-H15</f>
        <v>14369.272811860232</v>
      </c>
      <c r="I11" s="18">
        <f t="shared" si="5"/>
        <v>14800.350996216039</v>
      </c>
      <c r="J11" s="18">
        <f t="shared" si="5"/>
        <v>15170.359771121432</v>
      </c>
      <c r="K11" s="6">
        <f t="shared" si="5"/>
        <v>15549.618765399471</v>
      </c>
      <c r="M11" s="51" t="s">
        <v>14</v>
      </c>
      <c r="N11" s="52"/>
      <c r="O11" s="53"/>
      <c r="P11" s="6">
        <f>6861+42321</f>
        <v>49182</v>
      </c>
      <c r="R11" t="s">
        <v>69</v>
      </c>
      <c r="T11" s="63"/>
      <c r="U11" s="63"/>
      <c r="V11" s="63"/>
      <c r="W11" s="63"/>
    </row>
    <row r="12" spans="1:23" x14ac:dyDescent="0.25">
      <c r="A12" s="51" t="s">
        <v>8</v>
      </c>
      <c r="B12" s="52"/>
      <c r="C12" s="53"/>
      <c r="D12" s="26">
        <v>2262</v>
      </c>
      <c r="E12" s="18">
        <v>2320</v>
      </c>
      <c r="F12" s="6">
        <v>1949</v>
      </c>
      <c r="G12" s="18">
        <f>G11*G37</f>
        <v>2652.949991134853</v>
      </c>
      <c r="H12" s="18">
        <f>H11*H37</f>
        <v>2733.8649658644663</v>
      </c>
      <c r="I12" s="18">
        <f>I11*I37</f>
        <v>2815.8809148404002</v>
      </c>
      <c r="J12" s="18">
        <f>J11*J37</f>
        <v>2886.2779377114089</v>
      </c>
      <c r="K12" s="6">
        <f>K11*K37</f>
        <v>2958.4348861541948</v>
      </c>
      <c r="M12" s="51" t="s">
        <v>26</v>
      </c>
      <c r="N12" s="52"/>
      <c r="O12" s="53"/>
      <c r="P12" s="6">
        <f>P32*P29</f>
        <v>212293.26</v>
      </c>
      <c r="R12" t="s">
        <v>59</v>
      </c>
    </row>
    <row r="13" spans="1:23" x14ac:dyDescent="0.25">
      <c r="A13" s="51" t="s">
        <v>10</v>
      </c>
      <c r="B13" s="52"/>
      <c r="C13" s="53"/>
      <c r="D13" s="26">
        <f>D11-D12</f>
        <v>9724</v>
      </c>
      <c r="E13" s="18">
        <f>E11-E12</f>
        <v>10567</v>
      </c>
      <c r="F13" s="6">
        <f t="shared" ref="F13" si="6">F11-F12</f>
        <v>9549</v>
      </c>
      <c r="G13" s="18">
        <f>G11-G12</f>
        <v>11291.031388642179</v>
      </c>
      <c r="H13" s="18">
        <f t="shared" ref="H13:K13" si="7">H11-H12</f>
        <v>11635.407845995765</v>
      </c>
      <c r="I13" s="18">
        <f t="shared" si="7"/>
        <v>11984.470081375639</v>
      </c>
      <c r="J13" s="18">
        <f t="shared" si="7"/>
        <v>12284.081833410022</v>
      </c>
      <c r="K13" s="6">
        <f t="shared" si="7"/>
        <v>12591.183879245276</v>
      </c>
      <c r="M13" s="51" t="s">
        <v>18</v>
      </c>
      <c r="N13" s="52"/>
      <c r="O13" s="53"/>
      <c r="P13" s="5">
        <f>F37</f>
        <v>0.1902577118313159</v>
      </c>
      <c r="R13" t="s">
        <v>60</v>
      </c>
    </row>
    <row r="14" spans="1:23" x14ac:dyDescent="0.25">
      <c r="A14" s="51"/>
      <c r="B14" s="52"/>
      <c r="C14" s="53"/>
      <c r="D14" s="26"/>
      <c r="E14" s="18"/>
      <c r="F14" s="6"/>
      <c r="G14" s="18"/>
      <c r="H14" s="18"/>
      <c r="I14" s="18"/>
      <c r="J14" s="18"/>
      <c r="K14" s="6"/>
      <c r="M14" s="51"/>
      <c r="N14" s="52"/>
      <c r="O14" s="53"/>
      <c r="P14" s="4"/>
      <c r="R14" t="s">
        <v>61</v>
      </c>
      <c r="V14" s="63"/>
    </row>
    <row r="15" spans="1:23" x14ac:dyDescent="0.25">
      <c r="A15" s="51" t="s">
        <v>38</v>
      </c>
      <c r="B15" s="52"/>
      <c r="C15" s="53"/>
      <c r="D15" s="26">
        <v>2948</v>
      </c>
      <c r="E15" s="18">
        <v>3160</v>
      </c>
      <c r="F15" s="6">
        <v>3451</v>
      </c>
      <c r="G15" s="18">
        <f t="shared" ref="G15:K16" si="8">G$6*G33</f>
        <v>3387.9112800484672</v>
      </c>
      <c r="H15" s="18">
        <f t="shared" si="8"/>
        <v>3491.2425740899453</v>
      </c>
      <c r="I15" s="18">
        <f t="shared" si="8"/>
        <v>3595.9798513126434</v>
      </c>
      <c r="J15" s="18">
        <f t="shared" si="8"/>
        <v>3685.879347595459</v>
      </c>
      <c r="K15" s="6">
        <f t="shared" si="8"/>
        <v>3778.0263312853453</v>
      </c>
      <c r="M15" s="51" t="s">
        <v>25</v>
      </c>
      <c r="N15" s="52"/>
      <c r="O15" s="53"/>
      <c r="P15" s="3">
        <f>P9*(P11/(P12+P11))*(1-P13) + P10*(P12/(P11+P12))</f>
        <v>5.7475753711989673E-2</v>
      </c>
      <c r="R15" t="s">
        <v>62</v>
      </c>
    </row>
    <row r="16" spans="1:23" x14ac:dyDescent="0.25">
      <c r="A16" s="51" t="s">
        <v>9</v>
      </c>
      <c r="B16" s="52"/>
      <c r="C16" s="53"/>
      <c r="D16" s="57">
        <v>927</v>
      </c>
      <c r="E16" s="57">
        <v>33</v>
      </c>
      <c r="F16" s="6">
        <v>1993</v>
      </c>
      <c r="G16" s="18">
        <f t="shared" si="8"/>
        <v>0</v>
      </c>
      <c r="H16" s="18">
        <f t="shared" si="8"/>
        <v>0</v>
      </c>
      <c r="I16" s="18">
        <f t="shared" si="8"/>
        <v>0</v>
      </c>
      <c r="J16" s="18">
        <f t="shared" si="8"/>
        <v>0</v>
      </c>
      <c r="K16" s="6">
        <f t="shared" si="8"/>
        <v>0</v>
      </c>
      <c r="M16" s="51"/>
      <c r="N16" s="52"/>
      <c r="O16" s="53"/>
      <c r="P16" s="4"/>
      <c r="R16" t="s">
        <v>63</v>
      </c>
    </row>
    <row r="17" spans="1:18" x14ac:dyDescent="0.25">
      <c r="A17" s="51"/>
      <c r="B17" s="52"/>
      <c r="C17" s="53"/>
      <c r="D17" s="26"/>
      <c r="E17" s="18"/>
      <c r="F17" s="6"/>
      <c r="G17" s="18"/>
      <c r="H17" s="18"/>
      <c r="I17" s="18"/>
      <c r="J17" s="18"/>
      <c r="K17" s="6"/>
      <c r="M17" s="51" t="s">
        <v>29</v>
      </c>
      <c r="N17" s="52"/>
      <c r="O17" s="53"/>
      <c r="P17" s="7">
        <v>15.66</v>
      </c>
      <c r="R17" t="s">
        <v>64</v>
      </c>
    </row>
    <row r="18" spans="1:18" x14ac:dyDescent="0.25">
      <c r="A18" s="51" t="s">
        <v>39</v>
      </c>
      <c r="B18" s="52"/>
      <c r="C18" s="53"/>
      <c r="D18" s="26"/>
      <c r="E18" s="18">
        <v>-7894</v>
      </c>
      <c r="F18" s="6">
        <v>-7484</v>
      </c>
      <c r="G18" s="18">
        <f>G$6*G35</f>
        <v>-7834.2511999999997</v>
      </c>
      <c r="H18" s="18">
        <f>H$6*H35</f>
        <v>-8073.1958615999993</v>
      </c>
      <c r="I18" s="18">
        <f>I$6*I35</f>
        <v>-8315.3917374479988</v>
      </c>
      <c r="J18" s="18">
        <f>J$6*J35</f>
        <v>-8523.2765308841972</v>
      </c>
      <c r="K18" s="6">
        <f>K$6*K35</f>
        <v>-8736.3584441563016</v>
      </c>
      <c r="M18" s="51" t="s">
        <v>30</v>
      </c>
      <c r="N18" s="52"/>
      <c r="O18" s="53"/>
      <c r="P18" s="8">
        <f>K10*P17</f>
        <v>302670.92221408425</v>
      </c>
      <c r="R18" t="s">
        <v>65</v>
      </c>
    </row>
    <row r="19" spans="1:18" x14ac:dyDescent="0.25">
      <c r="A19" s="51" t="s">
        <v>11</v>
      </c>
      <c r="B19" s="52"/>
      <c r="C19" s="53"/>
      <c r="D19" s="26"/>
      <c r="E19" s="18"/>
      <c r="F19" s="6">
        <f>F18-E18</f>
        <v>410</v>
      </c>
      <c r="G19" s="58">
        <f>G18-F18</f>
        <v>-350.2511999999997</v>
      </c>
      <c r="H19" s="18">
        <f t="shared" ref="H19:K19" si="9">H18-G18</f>
        <v>-238.94466159999956</v>
      </c>
      <c r="I19" s="18">
        <f t="shared" si="9"/>
        <v>-242.19587584799956</v>
      </c>
      <c r="J19" s="18">
        <f t="shared" si="9"/>
        <v>-207.88479343619838</v>
      </c>
      <c r="K19" s="6">
        <f t="shared" si="9"/>
        <v>-213.08191327210443</v>
      </c>
      <c r="M19" s="51"/>
      <c r="N19" s="52"/>
      <c r="O19" s="53"/>
      <c r="P19" s="4"/>
      <c r="R19" t="s">
        <v>66</v>
      </c>
    </row>
    <row r="20" spans="1:18" x14ac:dyDescent="0.25">
      <c r="A20" s="51" t="s">
        <v>12</v>
      </c>
      <c r="B20" s="52"/>
      <c r="C20" s="53"/>
      <c r="D20" s="26">
        <v>5518</v>
      </c>
      <c r="E20" s="18">
        <v>5318</v>
      </c>
      <c r="F20" s="6">
        <v>4415</v>
      </c>
      <c r="G20" s="18">
        <f>G$6*G36</f>
        <v>4621.6220000000003</v>
      </c>
      <c r="H20" s="18">
        <f>H$6*H36</f>
        <v>4762.5814710000004</v>
      </c>
      <c r="I20" s="18">
        <f>I$6*I36</f>
        <v>4905.4589151300006</v>
      </c>
      <c r="J20" s="18">
        <f>J$6*J36</f>
        <v>5028.0953880082498</v>
      </c>
      <c r="K20" s="6">
        <f>K$6*K36</f>
        <v>5153.7977727084553</v>
      </c>
      <c r="M20" s="51" t="s">
        <v>31</v>
      </c>
      <c r="N20" s="52"/>
      <c r="O20" s="53"/>
      <c r="P20" s="6">
        <f>P18/(1+P15)^5</f>
        <v>228885.67230114716</v>
      </c>
      <c r="R20" t="s">
        <v>67</v>
      </c>
    </row>
    <row r="21" spans="1:18" x14ac:dyDescent="0.25">
      <c r="A21" s="51"/>
      <c r="B21" s="52"/>
      <c r="C21" s="53"/>
      <c r="D21" s="26"/>
      <c r="E21" s="18"/>
      <c r="F21" s="6"/>
      <c r="G21" s="18"/>
      <c r="H21" s="18"/>
      <c r="I21" s="18"/>
      <c r="J21" s="18"/>
      <c r="K21" s="6"/>
      <c r="M21" s="51" t="s">
        <v>32</v>
      </c>
      <c r="N21" s="52"/>
      <c r="O21" s="53"/>
      <c r="P21" s="8">
        <f>SUM(G25:K25)</f>
        <v>47421.173505436542</v>
      </c>
      <c r="R21" t="s">
        <v>68</v>
      </c>
    </row>
    <row r="22" spans="1:18" x14ac:dyDescent="0.25">
      <c r="A22" s="34" t="s">
        <v>15</v>
      </c>
      <c r="B22" s="35"/>
      <c r="C22" s="36"/>
      <c r="D22" s="37"/>
      <c r="E22" s="38"/>
      <c r="F22" s="39"/>
      <c r="G22" s="40">
        <f>G13+G15+G16-G19-G20</f>
        <v>10407.571868690648</v>
      </c>
      <c r="H22" s="40">
        <f t="shared" ref="H22:K22" si="10">H13+H15+H16-H19-H20</f>
        <v>10603.01361068571</v>
      </c>
      <c r="I22" s="40">
        <f t="shared" si="10"/>
        <v>10917.186893406282</v>
      </c>
      <c r="J22" s="40">
        <f t="shared" si="10"/>
        <v>11149.750586433431</v>
      </c>
      <c r="K22" s="41">
        <f t="shared" si="10"/>
        <v>11428.494351094272</v>
      </c>
      <c r="M22" s="34" t="s">
        <v>33</v>
      </c>
      <c r="N22" s="35"/>
      <c r="O22" s="36"/>
      <c r="P22" s="43">
        <f>P20+P21</f>
        <v>276306.8458065837</v>
      </c>
    </row>
    <row r="23" spans="1:18" x14ac:dyDescent="0.25">
      <c r="A23" s="51" t="s">
        <v>42</v>
      </c>
      <c r="B23" s="52"/>
      <c r="C23" s="53"/>
      <c r="D23" s="26">
        <v>819</v>
      </c>
      <c r="E23" s="18">
        <v>919</v>
      </c>
      <c r="F23" s="6">
        <v>1121</v>
      </c>
      <c r="G23" s="18">
        <f>F23</f>
        <v>1121</v>
      </c>
      <c r="H23" s="18">
        <f t="shared" ref="H23:K23" si="11">G23</f>
        <v>1121</v>
      </c>
      <c r="I23" s="18">
        <f t="shared" si="11"/>
        <v>1121</v>
      </c>
      <c r="J23" s="18">
        <f t="shared" si="11"/>
        <v>1121</v>
      </c>
      <c r="K23" s="6">
        <f t="shared" si="11"/>
        <v>1121</v>
      </c>
      <c r="M23" s="51"/>
      <c r="N23" s="52"/>
      <c r="O23" s="53"/>
      <c r="P23" s="4"/>
    </row>
    <row r="24" spans="1:18" x14ac:dyDescent="0.25">
      <c r="A24" s="34" t="s">
        <v>13</v>
      </c>
      <c r="B24" s="35"/>
      <c r="C24" s="36"/>
      <c r="D24" s="42"/>
      <c r="E24" s="38"/>
      <c r="F24" s="39"/>
      <c r="G24" s="40">
        <f>G22-G23</f>
        <v>9286.5718686906475</v>
      </c>
      <c r="H24" s="40">
        <f t="shared" ref="H24:K24" si="12">H22-H23</f>
        <v>9482.0136106857099</v>
      </c>
      <c r="I24" s="40">
        <f t="shared" si="12"/>
        <v>9796.1868934062823</v>
      </c>
      <c r="J24" s="40">
        <f t="shared" si="12"/>
        <v>10028.750586433431</v>
      </c>
      <c r="K24" s="41">
        <f t="shared" si="12"/>
        <v>10307.494351094272</v>
      </c>
      <c r="M24" s="51" t="s">
        <v>34</v>
      </c>
      <c r="N24" s="52"/>
      <c r="O24" s="53"/>
      <c r="P24" s="3">
        <f>P20/P22</f>
        <v>0.82837495984941456</v>
      </c>
    </row>
    <row r="25" spans="1:18" x14ac:dyDescent="0.25">
      <c r="A25" s="34" t="s">
        <v>48</v>
      </c>
      <c r="B25" s="35"/>
      <c r="C25" s="36"/>
      <c r="D25" s="42"/>
      <c r="E25" s="38"/>
      <c r="F25" s="39"/>
      <c r="G25" s="40">
        <f>G22/(1+$P$15)^G26</f>
        <v>10120.785239271137</v>
      </c>
      <c r="H25" s="40">
        <f t="shared" ref="H25:K25" si="13">H22/(1+$P$15)^H26</f>
        <v>9750.4282584742723</v>
      </c>
      <c r="I25" s="40">
        <f t="shared" si="13"/>
        <v>9493.6824039317216</v>
      </c>
      <c r="J25" s="40">
        <f t="shared" si="13"/>
        <v>9168.9306510452388</v>
      </c>
      <c r="K25" s="41">
        <f t="shared" si="13"/>
        <v>8887.3469527141715</v>
      </c>
      <c r="M25" s="51"/>
      <c r="N25" s="52"/>
      <c r="O25" s="53"/>
      <c r="P25" s="4"/>
    </row>
    <row r="26" spans="1:18" x14ac:dyDescent="0.25">
      <c r="A26" s="51" t="s">
        <v>43</v>
      </c>
      <c r="B26" s="52"/>
      <c r="C26" s="53"/>
      <c r="D26" s="2"/>
      <c r="F26" s="4"/>
      <c r="G26" s="19">
        <v>0.5</v>
      </c>
      <c r="H26" s="19">
        <f>G26+1</f>
        <v>1.5</v>
      </c>
      <c r="I26" s="19">
        <f t="shared" ref="I26:K26" si="14">H26+1</f>
        <v>2.5</v>
      </c>
      <c r="J26" s="19">
        <f t="shared" si="14"/>
        <v>3.5</v>
      </c>
      <c r="K26" s="20">
        <f t="shared" si="14"/>
        <v>4.5</v>
      </c>
      <c r="M26" s="51" t="s">
        <v>50</v>
      </c>
      <c r="N26" s="52"/>
      <c r="O26" s="53"/>
      <c r="P26" s="8">
        <f>P11-9159-371</f>
        <v>39652</v>
      </c>
    </row>
    <row r="27" spans="1:18" x14ac:dyDescent="0.25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M27" s="34" t="s">
        <v>35</v>
      </c>
      <c r="N27" s="35"/>
      <c r="O27" s="36"/>
      <c r="P27" s="43">
        <f>P22-P26</f>
        <v>236654.8458065837</v>
      </c>
    </row>
    <row r="28" spans="1:18" x14ac:dyDescent="0.25">
      <c r="A28" s="13" t="s">
        <v>49</v>
      </c>
      <c r="B28" s="14"/>
      <c r="C28" s="15"/>
      <c r="D28" s="17" t="s">
        <v>16</v>
      </c>
      <c r="E28" s="29"/>
      <c r="F28" s="30"/>
      <c r="G28" s="17" t="s">
        <v>17</v>
      </c>
      <c r="H28" s="29"/>
      <c r="I28" s="29"/>
      <c r="J28" s="29"/>
      <c r="K28" s="31"/>
      <c r="M28" s="51"/>
      <c r="N28" s="52"/>
      <c r="O28" s="53"/>
      <c r="P28" s="4"/>
    </row>
    <row r="29" spans="1:18" x14ac:dyDescent="0.25">
      <c r="D29" s="45">
        <v>2023</v>
      </c>
      <c r="E29" s="46">
        <v>2024</v>
      </c>
      <c r="F29" s="47">
        <v>2025</v>
      </c>
      <c r="G29" s="45">
        <v>2026</v>
      </c>
      <c r="H29" s="46">
        <v>2027</v>
      </c>
      <c r="I29" s="46">
        <v>2028</v>
      </c>
      <c r="J29" s="46">
        <v>2029</v>
      </c>
      <c r="K29" s="47">
        <v>2030</v>
      </c>
      <c r="M29" s="51" t="s">
        <v>53</v>
      </c>
      <c r="N29" s="52"/>
      <c r="O29" s="53"/>
      <c r="P29" s="9">
        <v>1373</v>
      </c>
    </row>
    <row r="30" spans="1:18" x14ac:dyDescent="0.25">
      <c r="A30" s="48" t="s">
        <v>37</v>
      </c>
      <c r="B30" s="49"/>
      <c r="C30" s="50"/>
      <c r="D30" s="27"/>
      <c r="E30" s="21">
        <f>E6/D6 - 1</f>
        <v>4.1871194148965785E-3</v>
      </c>
      <c r="F30" s="3">
        <f>F6/E6 - 1</f>
        <v>2.2546650118666633E-2</v>
      </c>
      <c r="G30" s="27">
        <v>4.6800000000000001E-2</v>
      </c>
      <c r="H30" s="21">
        <v>3.0499999999999999E-2</v>
      </c>
      <c r="I30" s="21">
        <v>0.03</v>
      </c>
      <c r="J30" s="21">
        <v>2.5000000000000001E-2</v>
      </c>
      <c r="K30" s="3">
        <v>2.5000000000000001E-2</v>
      </c>
      <c r="M30" s="34" t="s">
        <v>36</v>
      </c>
      <c r="N30" s="35"/>
      <c r="O30" s="36"/>
      <c r="P30" s="44">
        <f>P27/P29</f>
        <v>172.3633254235861</v>
      </c>
    </row>
    <row r="31" spans="1:18" x14ac:dyDescent="0.25">
      <c r="A31" s="51" t="s">
        <v>20</v>
      </c>
      <c r="B31" s="52"/>
      <c r="C31" s="53"/>
      <c r="D31" s="27">
        <f>D7/D$6</f>
        <v>0.45786096139760141</v>
      </c>
      <c r="E31" s="21">
        <f>E7/E$6</f>
        <v>0.45446033923400181</v>
      </c>
      <c r="F31" s="3">
        <f>F7/F$6</f>
        <v>0.45851477242480704</v>
      </c>
      <c r="G31" s="27">
        <f>AVERAGE($D$31:$F$31)</f>
        <v>0.45694535768547007</v>
      </c>
      <c r="H31" s="21">
        <f>AVERAGE($D$31:$F$31)</f>
        <v>0.45694535768547007</v>
      </c>
      <c r="I31" s="21">
        <f>AVERAGE($D$31:$F$31)</f>
        <v>0.45694535768547007</v>
      </c>
      <c r="J31" s="21">
        <f>AVERAGE($D$31:$F$31)</f>
        <v>0.45694535768547007</v>
      </c>
      <c r="K31" s="3">
        <f>AVERAGE($D$31:$F$31)</f>
        <v>0.45694535768547007</v>
      </c>
      <c r="M31" s="51"/>
      <c r="N31" s="52"/>
      <c r="O31" s="53"/>
      <c r="P31" s="4"/>
    </row>
    <row r="32" spans="1:18" x14ac:dyDescent="0.25">
      <c r="A32" s="51" t="s">
        <v>21</v>
      </c>
      <c r="B32" s="52"/>
      <c r="C32" s="53"/>
      <c r="D32" s="27">
        <f>D9/D$6</f>
        <v>0.40096861300302827</v>
      </c>
      <c r="E32" s="21">
        <f>E9/E$6</f>
        <v>0.40488166002569292</v>
      </c>
      <c r="F32" s="3">
        <f>F9/F$6</f>
        <v>0.39784934788394993</v>
      </c>
      <c r="G32" s="27">
        <f t="shared" ref="G32:K33" si="15">AVERAGE($D32:$F32)</f>
        <v>0.40123320697089038</v>
      </c>
      <c r="H32" s="21">
        <f t="shared" si="15"/>
        <v>0.40123320697089038</v>
      </c>
      <c r="I32" s="21">
        <f t="shared" si="15"/>
        <v>0.40123320697089038</v>
      </c>
      <c r="J32" s="21">
        <f t="shared" si="15"/>
        <v>0.40123320697089038</v>
      </c>
      <c r="K32" s="3">
        <f t="shared" si="15"/>
        <v>0.40123320697089038</v>
      </c>
      <c r="M32" s="51" t="s">
        <v>45</v>
      </c>
      <c r="N32" s="52"/>
      <c r="O32" s="53"/>
      <c r="P32" s="10">
        <v>154.62</v>
      </c>
    </row>
    <row r="33" spans="1:16" x14ac:dyDescent="0.25">
      <c r="A33" s="51" t="s">
        <v>51</v>
      </c>
      <c r="B33" s="52"/>
      <c r="C33" s="53"/>
      <c r="D33" s="27">
        <f t="shared" ref="D33:F34" si="16">D15/D$6</f>
        <v>3.2228793825365414E-2</v>
      </c>
      <c r="E33" s="21">
        <f t="shared" si="16"/>
        <v>3.4402421233696953E-2</v>
      </c>
      <c r="F33" s="3">
        <f t="shared" si="16"/>
        <v>3.6742081447963801E-2</v>
      </c>
      <c r="G33" s="27">
        <f t="shared" si="15"/>
        <v>3.4457765502342051E-2</v>
      </c>
      <c r="H33" s="21">
        <f t="shared" si="15"/>
        <v>3.4457765502342051E-2</v>
      </c>
      <c r="I33" s="21">
        <f t="shared" si="15"/>
        <v>3.4457765502342051E-2</v>
      </c>
      <c r="J33" s="21">
        <f t="shared" si="15"/>
        <v>3.4457765502342051E-2</v>
      </c>
      <c r="K33" s="3">
        <f t="shared" si="15"/>
        <v>3.4457765502342051E-2</v>
      </c>
      <c r="M33" s="54" t="s">
        <v>46</v>
      </c>
      <c r="N33" s="55"/>
      <c r="O33" s="56"/>
      <c r="P33" s="16">
        <f>(P30-P32)/P32</f>
        <v>0.11475440061820009</v>
      </c>
    </row>
    <row r="34" spans="1:16" x14ac:dyDescent="0.25">
      <c r="A34" s="51" t="s">
        <v>40</v>
      </c>
      <c r="B34" s="52"/>
      <c r="C34" s="53"/>
      <c r="D34" s="27">
        <f t="shared" si="16"/>
        <v>1.0134359523783495E-2</v>
      </c>
      <c r="E34" s="21">
        <f t="shared" si="16"/>
        <v>3.5926579136455678E-4</v>
      </c>
      <c r="F34" s="3">
        <f t="shared" si="16"/>
        <v>2.1219057758850145E-2</v>
      </c>
      <c r="G34" s="27">
        <v>0</v>
      </c>
      <c r="H34" s="21">
        <v>0</v>
      </c>
      <c r="I34" s="21">
        <v>0</v>
      </c>
      <c r="J34" s="21">
        <v>0</v>
      </c>
      <c r="K34" s="3">
        <v>0</v>
      </c>
    </row>
    <row r="35" spans="1:16" x14ac:dyDescent="0.25">
      <c r="A35" s="51" t="s">
        <v>41</v>
      </c>
      <c r="B35" s="52"/>
      <c r="C35" s="53"/>
      <c r="D35" s="27"/>
      <c r="E35" s="21">
        <f>E18/E$6</f>
        <v>-8.5940732031267009E-2</v>
      </c>
      <c r="F35" s="3">
        <f>F18/F$6</f>
        <v>-7.9680596220388603E-2</v>
      </c>
      <c r="G35" s="27">
        <f>F35</f>
        <v>-7.9680596220388603E-2</v>
      </c>
      <c r="H35" s="21">
        <f t="shared" ref="H35:K35" si="17">G35</f>
        <v>-7.9680596220388603E-2</v>
      </c>
      <c r="I35" s="21">
        <f t="shared" si="17"/>
        <v>-7.9680596220388603E-2</v>
      </c>
      <c r="J35" s="21">
        <f t="shared" si="17"/>
        <v>-7.9680596220388603E-2</v>
      </c>
      <c r="K35" s="3">
        <f t="shared" si="17"/>
        <v>-7.9680596220388603E-2</v>
      </c>
    </row>
    <row r="36" spans="1:16" x14ac:dyDescent="0.25">
      <c r="A36" s="51" t="s">
        <v>19</v>
      </c>
      <c r="B36" s="52"/>
      <c r="C36" s="53"/>
      <c r="D36" s="27">
        <f>D20/D$6</f>
        <v>6.0325130369188046E-2</v>
      </c>
      <c r="E36" s="21">
        <f>E20/E$6</f>
        <v>5.7896226620506454E-2</v>
      </c>
      <c r="F36" s="3">
        <f>F20/F$6</f>
        <v>4.7005589566143202E-2</v>
      </c>
      <c r="G36" s="27">
        <f>F36</f>
        <v>4.7005589566143202E-2</v>
      </c>
      <c r="H36" s="21">
        <f t="shared" ref="H36:K36" si="18">G36</f>
        <v>4.7005589566143202E-2</v>
      </c>
      <c r="I36" s="21">
        <f t="shared" si="18"/>
        <v>4.7005589566143202E-2</v>
      </c>
      <c r="J36" s="21">
        <f t="shared" si="18"/>
        <v>4.7005589566143202E-2</v>
      </c>
      <c r="K36" s="3">
        <f t="shared" si="18"/>
        <v>4.7005589566143202E-2</v>
      </c>
    </row>
    <row r="37" spans="1:16" x14ac:dyDescent="0.25">
      <c r="A37" s="54" t="s">
        <v>18</v>
      </c>
      <c r="B37" s="55"/>
      <c r="C37" s="56"/>
      <c r="D37" s="28">
        <f>2262/11417</f>
        <v>0.19812560217219935</v>
      </c>
      <c r="E37" s="22">
        <f>2320/11946</f>
        <v>0.19420726603047045</v>
      </c>
      <c r="F37" s="16">
        <f>1949/10244</f>
        <v>0.1902577118313159</v>
      </c>
      <c r="G37" s="28">
        <f>F37</f>
        <v>0.1902577118313159</v>
      </c>
      <c r="H37" s="22">
        <f t="shared" ref="H37:K37" si="19">G37</f>
        <v>0.1902577118313159</v>
      </c>
      <c r="I37" s="22">
        <f t="shared" si="19"/>
        <v>0.1902577118313159</v>
      </c>
      <c r="J37" s="22">
        <f t="shared" si="19"/>
        <v>0.1902577118313159</v>
      </c>
      <c r="K37" s="16">
        <f t="shared" si="19"/>
        <v>0.1902577118313159</v>
      </c>
    </row>
    <row r="38" spans="1:16" x14ac:dyDescent="0.25">
      <c r="D38" s="1"/>
      <c r="E38" s="1"/>
      <c r="F38" s="1"/>
      <c r="G38" s="1"/>
      <c r="H38" s="1"/>
      <c r="I38" s="1"/>
      <c r="J38" s="1"/>
      <c r="K38" s="1"/>
    </row>
  </sheetData>
  <pageMargins left="0.7" right="0.7" top="0.75" bottom="0.75" header="0.3" footer="0.3"/>
  <ignoredErrors>
    <ignoredError sqref="G9:K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Pepsi-DCF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Troy Shen</dc:creator>
  <cp:lastModifiedBy>Troy Shen</cp:lastModifiedBy>
  <dcterms:created xsi:type="dcterms:W3CDTF">2026-05-10T23:30:24Z</dcterms:created>
  <dcterms:modified xsi:type="dcterms:W3CDTF">2026-06-18T23:50:55Z</dcterms:modified>
</cp:coreProperties>
</file>